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1" activeTab="1"/>
  </bookViews>
  <sheets>
    <sheet name="Sheet2" sheetId="2" state="hidden" r:id="rId1"/>
    <sheet name="Sample size planning" sheetId="3" r:id="rId2"/>
    <sheet name="Sheet3" sheetId="4" state="hidden" r:id="rId3"/>
  </sheets>
  <definedNames>
    <definedName name="_xlnm.Print_Area" localSheetId="1">'Sample size planning'!$A$1:$Y$40</definedName>
  </definedNames>
  <calcPr calcId="152511"/>
</workbook>
</file>

<file path=xl/calcChain.xml><?xml version="1.0" encoding="utf-8"?>
<calcChain xmlns="http://schemas.openxmlformats.org/spreadsheetml/2006/main">
  <c r="V16" i="3" l="1"/>
  <c r="H14" i="3"/>
  <c r="H13" i="3"/>
  <c r="H7" i="3"/>
  <c r="I26" i="3"/>
  <c r="H11" i="3" l="1"/>
  <c r="F26" i="3"/>
  <c r="I7" i="3" l="1"/>
  <c r="J26" i="3"/>
  <c r="X16" i="3" l="1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K16" i="3"/>
  <c r="I16" i="3"/>
  <c r="J16" i="3"/>
  <c r="L16" i="3"/>
  <c r="M16" i="3"/>
  <c r="N16" i="3"/>
  <c r="O16" i="3"/>
  <c r="P16" i="3"/>
  <c r="Q16" i="3"/>
  <c r="R16" i="3"/>
  <c r="T16" i="3"/>
  <c r="U16" i="3"/>
  <c r="W16" i="3"/>
  <c r="Y16" i="3"/>
  <c r="H16" i="3"/>
  <c r="V14" i="3"/>
  <c r="K14" i="3"/>
  <c r="J14" i="3"/>
  <c r="L14" i="3"/>
  <c r="M14" i="3"/>
  <c r="N14" i="3"/>
  <c r="O14" i="3"/>
  <c r="P14" i="3"/>
  <c r="Q14" i="3"/>
  <c r="R14" i="3"/>
  <c r="S14" i="3"/>
  <c r="T14" i="3"/>
  <c r="U14" i="3"/>
  <c r="W14" i="3"/>
  <c r="X14" i="3"/>
  <c r="Y14" i="3"/>
  <c r="I14" i="3"/>
  <c r="Y7" i="3"/>
  <c r="X7" i="3"/>
  <c r="W7" i="3"/>
  <c r="V7" i="3"/>
  <c r="U7" i="3"/>
  <c r="S7" i="3"/>
  <c r="R7" i="3"/>
  <c r="Q7" i="3"/>
  <c r="P7" i="3"/>
  <c r="O7" i="3"/>
  <c r="N7" i="3"/>
  <c r="M7" i="3"/>
  <c r="L7" i="3"/>
  <c r="K7" i="3"/>
  <c r="J7" i="3"/>
  <c r="F28" i="3"/>
  <c r="F29" i="3"/>
  <c r="T13" i="3"/>
  <c r="I9" i="3" l="1"/>
  <c r="H15" i="4" l="1"/>
  <c r="I15" i="4" s="1"/>
  <c r="G8" i="4"/>
  <c r="H8" i="4" s="1"/>
  <c r="H7" i="4"/>
  <c r="H14" i="4"/>
  <c r="D12" i="4"/>
  <c r="G7" i="4"/>
  <c r="I7" i="4" s="1"/>
  <c r="G9" i="4"/>
  <c r="H9" i="4" s="1"/>
  <c r="I9" i="4" s="1"/>
  <c r="G10" i="4"/>
  <c r="G11" i="4"/>
  <c r="H11" i="4" s="1"/>
  <c r="I11" i="4" s="1"/>
  <c r="G12" i="4"/>
  <c r="G13" i="4"/>
  <c r="H13" i="4" s="1"/>
  <c r="G14" i="4"/>
  <c r="I14" i="4" s="1"/>
  <c r="G15" i="4"/>
  <c r="G16" i="4"/>
  <c r="G17" i="4"/>
  <c r="H17" i="4" s="1"/>
  <c r="G6" i="4"/>
  <c r="H6" i="4" s="1"/>
  <c r="I12" i="4" l="1"/>
  <c r="I6" i="4"/>
  <c r="I10" i="4"/>
  <c r="H12" i="4"/>
  <c r="I13" i="4"/>
  <c r="I17" i="4"/>
  <c r="H16" i="4"/>
  <c r="I16" i="4" s="1"/>
  <c r="H10" i="4"/>
  <c r="H18" i="4" s="1"/>
  <c r="I8" i="4"/>
  <c r="G18" i="4"/>
  <c r="G21" i="4" s="1"/>
  <c r="I18" i="4" l="1"/>
  <c r="R9" i="3" l="1"/>
  <c r="Y11" i="3" l="1"/>
  <c r="Y13" i="3" s="1"/>
  <c r="X9" i="3" l="1"/>
  <c r="X11" i="3" s="1"/>
  <c r="X13" i="3" s="1"/>
  <c r="W9" i="3"/>
  <c r="W11" i="3" s="1"/>
  <c r="W13" i="3" s="1"/>
  <c r="V9" i="3"/>
  <c r="V11" i="3" s="1"/>
  <c r="V13" i="3" s="1"/>
  <c r="U9" i="3"/>
  <c r="U11" i="3" s="1"/>
  <c r="U13" i="3" s="1"/>
  <c r="S9" i="3"/>
  <c r="S11" i="3" s="1"/>
  <c r="S13" i="3" s="1"/>
  <c r="S16" i="3" s="1"/>
  <c r="R11" i="3"/>
  <c r="R13" i="3" s="1"/>
  <c r="Q9" i="3"/>
  <c r="Q11" i="3" s="1"/>
  <c r="Q13" i="3" s="1"/>
  <c r="P9" i="3"/>
  <c r="P11" i="3" s="1"/>
  <c r="P13" i="3" s="1"/>
  <c r="O9" i="3"/>
  <c r="O11" i="3" s="1"/>
  <c r="O13" i="3" s="1"/>
  <c r="N9" i="3"/>
  <c r="N11" i="3" s="1"/>
  <c r="N13" i="3" s="1"/>
  <c r="M9" i="3"/>
  <c r="L9" i="3"/>
  <c r="L11" i="3" s="1"/>
  <c r="L13" i="3" s="1"/>
  <c r="K9" i="3"/>
  <c r="K11" i="3" s="1"/>
  <c r="K13" i="3" s="1"/>
  <c r="M11" i="3"/>
  <c r="M13" i="3" s="1"/>
  <c r="J9" i="3"/>
  <c r="J11" i="3" s="1"/>
  <c r="J13" i="3" s="1"/>
  <c r="I11" i="3"/>
  <c r="I13" i="3" s="1"/>
  <c r="H9" i="3"/>
</calcChain>
</file>

<file path=xl/sharedStrings.xml><?xml version="1.0" encoding="utf-8"?>
<sst xmlns="http://schemas.openxmlformats.org/spreadsheetml/2006/main" count="116" uniqueCount="84">
  <si>
    <t>Inventories</t>
  </si>
  <si>
    <t>Trade and other receivables</t>
  </si>
  <si>
    <t>Loans and borrowings</t>
  </si>
  <si>
    <t>Trade and other payable</t>
  </si>
  <si>
    <t>PPE</t>
  </si>
  <si>
    <t>Investment</t>
  </si>
  <si>
    <t>Cash and bank</t>
  </si>
  <si>
    <t>Depreciation</t>
  </si>
  <si>
    <t>Inv.Income</t>
  </si>
  <si>
    <t>COGS, Trade Payables</t>
  </si>
  <si>
    <t>Loans, Interest Income and interest expenses</t>
  </si>
  <si>
    <t>Receivables</t>
  </si>
  <si>
    <t>Revenue</t>
  </si>
  <si>
    <t>Tax</t>
  </si>
  <si>
    <t>current and deferred tax</t>
  </si>
  <si>
    <t>Employee benefit</t>
  </si>
  <si>
    <t>payroll</t>
  </si>
  <si>
    <t>Admin exp</t>
  </si>
  <si>
    <t>Jahid</t>
  </si>
  <si>
    <t>Shayema</t>
  </si>
  <si>
    <t>Faruk</t>
  </si>
  <si>
    <t>sukanta</t>
  </si>
  <si>
    <t>Completion</t>
  </si>
  <si>
    <t xml:space="preserve">Next Meeting  at 1.30PM </t>
  </si>
  <si>
    <t xml:space="preserve">14 June 16 next meeting at 3.PM  </t>
  </si>
  <si>
    <t>Calculation of materiality factor</t>
  </si>
  <si>
    <t>Materiality</t>
  </si>
  <si>
    <t>Inherent risk factor</t>
  </si>
  <si>
    <t>Value of items above the tolerable limit</t>
  </si>
  <si>
    <t>Residual value</t>
  </si>
  <si>
    <t>Residual value/Materiallity *risk factor</t>
  </si>
  <si>
    <t>WIP</t>
  </si>
  <si>
    <t>Advance deposit and prepment</t>
  </si>
  <si>
    <t>Inter company receivables</t>
  </si>
  <si>
    <t>Cash and cash equivalent</t>
  </si>
  <si>
    <t>Bank overdraft</t>
  </si>
  <si>
    <t>Intercompany payables</t>
  </si>
  <si>
    <t>Long term liabilities</t>
  </si>
  <si>
    <t>Manufacturing exp</t>
  </si>
  <si>
    <t>Salary related to admin</t>
  </si>
  <si>
    <t>No of sample for residual value</t>
  </si>
  <si>
    <t>No of sample for above tolerable limit</t>
  </si>
  <si>
    <t>Total</t>
  </si>
  <si>
    <t>Maximum sample size</t>
  </si>
  <si>
    <t>Low/Low</t>
  </si>
  <si>
    <t>High/Medium</t>
  </si>
  <si>
    <t>Low/Medium</t>
  </si>
  <si>
    <t>Month</t>
  </si>
  <si>
    <t>As per monthly calculation schedule</t>
  </si>
  <si>
    <t>As per journal entry passed in the GL</t>
  </si>
  <si>
    <t>Difference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</si>
  <si>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</si>
  <si>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</si>
  <si>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</si>
  <si>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</si>
  <si>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</si>
  <si>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</si>
  <si>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</si>
  <si>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</si>
  <si>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</si>
  <si>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</si>
  <si>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</si>
  <si>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</si>
  <si>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Factory</t>
  </si>
  <si>
    <t>Finance</t>
  </si>
  <si>
    <t>Marketing and sales</t>
  </si>
  <si>
    <t>HR and admin</t>
  </si>
  <si>
    <t xml:space="preserve"> </t>
  </si>
  <si>
    <t>Medium/Medium</t>
  </si>
  <si>
    <t>Only TOD</t>
  </si>
  <si>
    <t>TOD+TOE</t>
  </si>
  <si>
    <t>TOD+TOE+SAP</t>
  </si>
  <si>
    <t>Tolerable limit=</t>
  </si>
  <si>
    <t>Specific risk</t>
  </si>
  <si>
    <t>General risk</t>
  </si>
  <si>
    <t>L</t>
  </si>
  <si>
    <t>M</t>
  </si>
  <si>
    <t>H</t>
  </si>
  <si>
    <t>For TOD only</t>
  </si>
  <si>
    <t>For TOD+TOE/SAP</t>
  </si>
  <si>
    <t>For TOD+TOE+SAP</t>
  </si>
  <si>
    <t>Monetary value</t>
  </si>
  <si>
    <t>Calculation of Sample size Planning</t>
  </si>
  <si>
    <t>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</si>
</sst>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64" fontId="0" fillId="0" borderId="0" xfId="1" applyNumberFormat="1" applyFont="1"/>
    <xf numFmtId="15" fontId="0" fillId="0" borderId="0" xfId="0" applyNumberFormat="1"/>
    <xf numFmtId="43" fontId="0" fillId="0" borderId="0" xfId="1" applyNumberFormat="1" applyFont="1"/>
    <xf numFmtId="164" fontId="2" fillId="0" borderId="0" xfId="1" applyNumberFormat="1" applyFont="1"/>
    <xf numFmtId="0" fontId="2" fillId="0" borderId="0" xfId="0" applyFont="1"/>
    <xf numFmtId="3" fontId="0" fillId="0" borderId="0" xfId="0" applyNumberFormat="1"/>
    <xf numFmtId="164" fontId="0" fillId="0" borderId="0" xfId="0" applyNumberFormat="1"/>
    <xf numFmtId="0" fontId="0" fillId="0" borderId="0" xfId="0" applyFont="1"/>
    <xf numFmtId="164" fontId="0" fillId="0" borderId="0" xfId="1" applyNumberFormat="1" applyFont="1" applyAlignment="1">
      <alignment horizontal="center" vertical="center" wrapText="1"/>
    </xf>
    <xf numFmtId="164" fontId="0" fillId="0" borderId="0" xfId="1" applyNumberFormat="1" applyFont="1" applyFill="1"/>
    <xf numFmtId="0" fontId="0" fillId="0" borderId="1" xfId="0" applyFont="1" applyBorder="1"/>
    <xf numFmtId="43" fontId="2" fillId="0" borderId="0" xfId="1" applyFont="1"/>
    <xf numFmtId="0" fontId="3" fillId="0" borderId="0" xfId="0" applyFont="1"/>
    <xf numFmtId="164" fontId="5" fillId="0" borderId="0" xfId="1" applyNumberFormat="1" applyFont="1"/>
    <xf numFmtId="0" fontId="0" fillId="0" borderId="0" xfId="0" applyFont="1" applyBorder="1"/>
    <xf numFmtId="0" fontId="2" fillId="0" borderId="0" xfId="0" applyFont="1" applyBorder="1"/>
    <xf numFmtId="164" fontId="2" fillId="0" borderId="0" xfId="1" applyNumberFormat="1" applyFont="1" applyBorder="1"/>
    <xf numFmtId="0" fontId="0" fillId="0" borderId="2" xfId="0" applyFont="1" applyBorder="1"/>
    <xf numFmtId="0" fontId="5" fillId="0" borderId="2" xfId="0" applyFont="1" applyBorder="1"/>
    <xf numFmtId="0" fontId="2" fillId="0" borderId="2" xfId="0" applyFont="1" applyBorder="1"/>
    <xf numFmtId="0" fontId="3" fillId="0" borderId="2" xfId="0" applyFont="1" applyBorder="1"/>
    <xf numFmtId="0" fontId="0" fillId="0" borderId="0" xfId="0" applyFont="1" applyFill="1"/>
    <xf numFmtId="43" fontId="0" fillId="0" borderId="0" xfId="1" applyNumberFormat="1" applyFont="1" applyFill="1"/>
    <xf numFmtId="164" fontId="6" fillId="0" borderId="0" xfId="1" applyNumberFormat="1" applyFont="1" applyFill="1"/>
    <xf numFmtId="164" fontId="5" fillId="0" borderId="0" xfId="1" applyNumberFormat="1" applyFont="1" applyFill="1"/>
    <xf numFmtId="0" fontId="2" fillId="0" borderId="0" xfId="0" applyFont="1" applyFill="1"/>
    <xf numFmtId="164" fontId="5" fillId="0" borderId="0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0" fillId="0" borderId="0" xfId="1" applyNumberFormat="1" applyFont="1" applyAlignment="1">
      <alignment vertical="center"/>
    </xf>
    <xf numFmtId="164" fontId="0" fillId="0" borderId="0" xfId="1" applyNumberFormat="1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64" fontId="0" fillId="0" borderId="0" xfId="1" applyNumberFormat="1" applyFont="1" applyAlignment="1">
      <alignment horizontal="center" wrapText="1"/>
    </xf>
    <xf numFmtId="164" fontId="0" fillId="0" borderId="0" xfId="1" applyNumberFormat="1" applyFont="1" applyFill="1" applyAlignment="1">
      <alignment vertical="center"/>
    </xf>
    <xf numFmtId="3" fontId="4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3"/>
  <sheetViews>
    <sheetView workbookViewId="0">
      <selection activeCell="B17" sqref="B17"/>
    </sheetView>
  </sheetViews>
  <sheetFormatPr defaultRowHeight="15" x14ac:dyDescent="0.25"/>
  <cols>
    <col min="1" max="1" width="19.140625" customWidth="1"/>
    <col min="2" max="2" width="22" customWidth="1"/>
    <col min="3" max="3" width="42.140625" bestFit="1" customWidth="1"/>
    <col min="5" max="5" width="12" customWidth="1"/>
    <col min="6" max="6" width="10.140625" bestFit="1" customWidth="1"/>
  </cols>
  <sheetData>
    <row r="3" spans="2:7" x14ac:dyDescent="0.25">
      <c r="B3" t="s">
        <v>4</v>
      </c>
      <c r="C3" t="s">
        <v>7</v>
      </c>
      <c r="D3" t="s">
        <v>19</v>
      </c>
      <c r="E3" s="2">
        <v>42518</v>
      </c>
      <c r="F3" s="2">
        <v>42519</v>
      </c>
      <c r="G3" t="s">
        <v>23</v>
      </c>
    </row>
    <row r="4" spans="2:7" x14ac:dyDescent="0.25">
      <c r="B4" t="s">
        <v>5</v>
      </c>
      <c r="C4" t="s">
        <v>8</v>
      </c>
      <c r="D4" t="s">
        <v>18</v>
      </c>
      <c r="E4" s="2">
        <v>42518</v>
      </c>
    </row>
    <row r="5" spans="2:7" x14ac:dyDescent="0.25">
      <c r="B5" t="s">
        <v>0</v>
      </c>
      <c r="C5" t="s">
        <v>9</v>
      </c>
      <c r="D5" t="s">
        <v>19</v>
      </c>
      <c r="E5" s="2">
        <v>42518</v>
      </c>
    </row>
    <row r="6" spans="2:7" x14ac:dyDescent="0.25">
      <c r="B6" t="s">
        <v>6</v>
      </c>
      <c r="C6" t="s">
        <v>10</v>
      </c>
      <c r="D6" t="s">
        <v>18</v>
      </c>
      <c r="E6" s="2">
        <v>42518</v>
      </c>
    </row>
    <row r="7" spans="2:7" x14ac:dyDescent="0.25">
      <c r="B7" t="s">
        <v>11</v>
      </c>
      <c r="C7" t="s">
        <v>12</v>
      </c>
      <c r="D7" t="s">
        <v>20</v>
      </c>
      <c r="E7" s="2">
        <v>42533</v>
      </c>
    </row>
    <row r="8" spans="2:7" x14ac:dyDescent="0.25">
      <c r="B8" t="s">
        <v>13</v>
      </c>
      <c r="C8" t="s">
        <v>14</v>
      </c>
      <c r="D8" t="s">
        <v>21</v>
      </c>
      <c r="E8" s="2">
        <v>42533</v>
      </c>
    </row>
    <row r="9" spans="2:7" x14ac:dyDescent="0.25">
      <c r="B9" t="s">
        <v>15</v>
      </c>
      <c r="C9" t="s">
        <v>16</v>
      </c>
      <c r="D9" t="s">
        <v>18</v>
      </c>
      <c r="E9" s="2">
        <v>42533</v>
      </c>
    </row>
    <row r="10" spans="2:7" x14ac:dyDescent="0.25">
      <c r="C10" t="s">
        <v>17</v>
      </c>
      <c r="D10" t="s">
        <v>19</v>
      </c>
      <c r="E10" s="2">
        <v>42533</v>
      </c>
    </row>
    <row r="13" spans="2:7" x14ac:dyDescent="0.25">
      <c r="B13" t="s">
        <v>22</v>
      </c>
      <c r="D13" t="s">
        <v>18</v>
      </c>
      <c r="E13" s="2">
        <v>42533</v>
      </c>
      <c r="F13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G39"/>
  <sheetViews>
    <sheetView tabSelected="1" view="pageBreakPreview" zoomScaleNormal="150" zoomScaleSheetLayoutView="100" workbookViewId="0">
      <selection activeCell="G6" sqref="G6"/>
    </sheetView>
  </sheetViews>
  <sheetFormatPr defaultRowHeight="15" x14ac:dyDescent="0.25"/>
  <cols>
    <col min="1" max="1" width="4.5703125" style="8" customWidth="1"/>
    <col min="2" max="2" width="13.7109375" style="8" customWidth="1"/>
    <col min="3" max="3" width="9.140625" style="8"/>
    <col min="4" max="4" width="19.42578125" style="8" customWidth="1"/>
    <col min="5" max="5" width="1.28515625" style="8" customWidth="1"/>
    <col min="6" max="6" width="14.7109375" style="8" customWidth="1"/>
    <col min="7" max="7" width="11.5703125" style="8" bestFit="1" customWidth="1"/>
    <col min="8" max="8" width="13.5703125" style="22" customWidth="1"/>
    <col min="9" max="9" width="13.85546875" style="8" customWidth="1"/>
    <col min="10" max="10" width="14.28515625" style="8" bestFit="1" customWidth="1"/>
    <col min="11" max="11" width="11.5703125" style="8" bestFit="1" customWidth="1"/>
    <col min="12" max="12" width="14.28515625" style="8" customWidth="1"/>
    <col min="13" max="13" width="14.85546875" style="8" customWidth="1"/>
    <col min="14" max="14" width="14.5703125" style="8" customWidth="1"/>
    <col min="15" max="15" width="12.5703125" style="8" bestFit="1" customWidth="1"/>
    <col min="16" max="17" width="14.28515625" style="8" bestFit="1" customWidth="1"/>
    <col min="18" max="18" width="17.5703125" style="8" customWidth="1"/>
    <col min="19" max="20" width="14.5703125" style="8" customWidth="1"/>
    <col min="21" max="21" width="12.5703125" style="8" bestFit="1" customWidth="1"/>
    <col min="22" max="22" width="15.28515625" style="8" bestFit="1" customWidth="1"/>
    <col min="23" max="23" width="14.42578125" style="8" bestFit="1" customWidth="1"/>
    <col min="24" max="24" width="14.28515625" style="8" bestFit="1" customWidth="1"/>
    <col min="25" max="25" width="15.28515625" style="8" bestFit="1" customWidth="1"/>
    <col min="26" max="16384" width="9.140625" style="8"/>
  </cols>
  <sheetData>
    <row r="2" spans="2:33" x14ac:dyDescent="0.25">
      <c r="B2" s="8" t="s">
        <v>82</v>
      </c>
    </row>
    <row r="4" spans="2:33" ht="36" customHeight="1" x14ac:dyDescent="0.25">
      <c r="H4" s="10" t="s">
        <v>4</v>
      </c>
      <c r="I4" s="1" t="s">
        <v>5</v>
      </c>
      <c r="J4" s="1" t="s">
        <v>0</v>
      </c>
      <c r="K4" s="1" t="s">
        <v>31</v>
      </c>
      <c r="L4" s="32" t="s">
        <v>1</v>
      </c>
      <c r="M4" s="32" t="s">
        <v>32</v>
      </c>
      <c r="N4" s="30" t="s">
        <v>33</v>
      </c>
      <c r="O4" s="30" t="s">
        <v>34</v>
      </c>
      <c r="P4" s="30" t="s">
        <v>35</v>
      </c>
      <c r="Q4" s="30" t="s">
        <v>2</v>
      </c>
      <c r="R4" s="30" t="s">
        <v>3</v>
      </c>
      <c r="S4" s="30" t="s">
        <v>36</v>
      </c>
      <c r="T4" s="9"/>
      <c r="U4" s="30" t="s">
        <v>37</v>
      </c>
      <c r="V4" s="30" t="s">
        <v>12</v>
      </c>
      <c r="W4" s="30" t="s">
        <v>38</v>
      </c>
      <c r="X4" s="30" t="s">
        <v>17</v>
      </c>
      <c r="Y4" s="30" t="s">
        <v>39</v>
      </c>
      <c r="Z4" s="1"/>
      <c r="AA4" s="1"/>
      <c r="AB4" s="1"/>
      <c r="AC4" s="1"/>
      <c r="AD4" s="1"/>
      <c r="AE4" s="1"/>
      <c r="AF4" s="1"/>
      <c r="AG4" s="1"/>
    </row>
    <row r="5" spans="2:33" x14ac:dyDescent="0.25">
      <c r="B5" s="8" t="s">
        <v>25</v>
      </c>
      <c r="H5" s="10"/>
      <c r="I5" s="1"/>
      <c r="J5" s="1"/>
      <c r="K5" s="1"/>
      <c r="L5" s="32"/>
      <c r="M5" s="32"/>
      <c r="N5" s="30"/>
      <c r="O5" s="30"/>
      <c r="P5" s="30"/>
      <c r="Q5" s="30"/>
      <c r="R5" s="30"/>
      <c r="S5" s="30"/>
      <c r="T5" s="9"/>
      <c r="U5" s="30"/>
      <c r="V5" s="30"/>
      <c r="W5" s="30"/>
      <c r="X5" s="30"/>
      <c r="Y5" s="30"/>
      <c r="Z5" s="1"/>
      <c r="AA5" s="1"/>
      <c r="AB5" s="1"/>
      <c r="AC5" s="1"/>
      <c r="AD5" s="1"/>
      <c r="AE5" s="1"/>
      <c r="AF5" s="1"/>
      <c r="AG5" s="1"/>
    </row>
    <row r="6" spans="2:33" x14ac:dyDescent="0.25">
      <c r="H6" s="10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</row>
    <row r="7" spans="2:33" x14ac:dyDescent="0.25">
      <c r="B7" s="31" t="s">
        <v>72</v>
      </c>
      <c r="C7" s="31"/>
      <c r="D7" s="11" t="s">
        <v>26</v>
      </c>
      <c r="E7" s="11"/>
      <c r="F7" s="34">
        <v>45098900</v>
      </c>
      <c r="H7" s="33">
        <f>$F$7/$C$27</f>
        <v>25054944.444444444</v>
      </c>
      <c r="I7" s="29">
        <f>$F$7/$C$26</f>
        <v>32213500.000000004</v>
      </c>
      <c r="J7" s="29">
        <f>$F$7/$C$27</f>
        <v>25054944.444444444</v>
      </c>
      <c r="K7" s="29">
        <f>$F$7/$C$27</f>
        <v>25054944.444444444</v>
      </c>
      <c r="L7" s="29">
        <f t="shared" ref="L7:S7" si="0">$F$7/$C$26</f>
        <v>32213500.000000004</v>
      </c>
      <c r="M7" s="29">
        <f t="shared" si="0"/>
        <v>32213500.000000004</v>
      </c>
      <c r="N7" s="29">
        <f t="shared" si="0"/>
        <v>32213500.000000004</v>
      </c>
      <c r="O7" s="29">
        <f t="shared" si="0"/>
        <v>32213500.000000004</v>
      </c>
      <c r="P7" s="29">
        <f t="shared" si="0"/>
        <v>32213500.000000004</v>
      </c>
      <c r="Q7" s="29">
        <f t="shared" si="0"/>
        <v>32213500.000000004</v>
      </c>
      <c r="R7" s="29">
        <f t="shared" si="0"/>
        <v>32213500.000000004</v>
      </c>
      <c r="S7" s="29">
        <f t="shared" si="0"/>
        <v>32213500.000000004</v>
      </c>
      <c r="T7" s="1"/>
      <c r="U7" s="29">
        <f>$F$7/$C$26</f>
        <v>32213500.000000004</v>
      </c>
      <c r="V7" s="29">
        <f>$F$7/$C$29</f>
        <v>21475666.666666664</v>
      </c>
      <c r="W7" s="29">
        <f>$F$7/$C$26</f>
        <v>32213500.000000004</v>
      </c>
      <c r="X7" s="29">
        <f>$F$7/$C$26</f>
        <v>32213500.000000004</v>
      </c>
      <c r="Y7" s="29">
        <f>$F$7/$C$26</f>
        <v>32213500.000000004</v>
      </c>
      <c r="Z7" s="1"/>
      <c r="AA7" s="1"/>
      <c r="AB7" s="1"/>
      <c r="AC7" s="1"/>
      <c r="AD7" s="1"/>
      <c r="AE7" s="1"/>
      <c r="AF7" s="1"/>
      <c r="AG7" s="1"/>
    </row>
    <row r="8" spans="2:33" x14ac:dyDescent="0.25">
      <c r="B8" s="31"/>
      <c r="C8" s="31"/>
      <c r="D8" s="8" t="s">
        <v>27</v>
      </c>
      <c r="F8" s="34"/>
      <c r="H8" s="33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1"/>
      <c r="U8" s="29"/>
      <c r="V8" s="29"/>
      <c r="W8" s="29"/>
      <c r="X8" s="29"/>
      <c r="Y8" s="29"/>
      <c r="Z8" s="1"/>
      <c r="AA8" s="1"/>
      <c r="AB8" s="1"/>
      <c r="AC8" s="1"/>
      <c r="AD8" s="1"/>
      <c r="AE8" s="1"/>
      <c r="AF8" s="1"/>
      <c r="AG8" s="1"/>
    </row>
    <row r="9" spans="2:33" x14ac:dyDescent="0.25">
      <c r="B9" s="8" t="s">
        <v>81</v>
      </c>
      <c r="H9" s="10">
        <f>406395000/9*12</f>
        <v>541860000</v>
      </c>
      <c r="I9" s="1">
        <f>1943650000/9*12</f>
        <v>2591533333.333333</v>
      </c>
      <c r="J9" s="1">
        <f>3055115000/9*12</f>
        <v>4073486666.6666665</v>
      </c>
      <c r="K9" s="1">
        <f>50965000/9*12</f>
        <v>67953333.333333343</v>
      </c>
      <c r="L9" s="1">
        <f>1621214000/9*12</f>
        <v>2161618666.666667</v>
      </c>
      <c r="M9" s="1">
        <f>807494000/9*12</f>
        <v>1076658666.6666665</v>
      </c>
      <c r="N9" s="1">
        <f>5274243000/9*12</f>
        <v>7032324000</v>
      </c>
      <c r="O9" s="1">
        <f>214924000/9*12</f>
        <v>286565333.33333331</v>
      </c>
      <c r="P9" s="1">
        <f>1131723000/9*12</f>
        <v>1508964000</v>
      </c>
      <c r="Q9" s="1">
        <f>6001237000/9*12</f>
        <v>8001649333.333334</v>
      </c>
      <c r="R9" s="1">
        <f>1778489000/9*12+248986667</f>
        <v>2620305333.666667</v>
      </c>
      <c r="S9" s="1">
        <f>186740000/9*12</f>
        <v>248986666.66666666</v>
      </c>
      <c r="T9" s="1">
        <v>11537926</v>
      </c>
      <c r="U9" s="1">
        <f>734762000/9*12</f>
        <v>979682666.66666675</v>
      </c>
      <c r="V9" s="1">
        <f>9069593000/9*12</f>
        <v>12092790666.666668</v>
      </c>
      <c r="W9" s="1">
        <f>568475000/9*12</f>
        <v>757966666.66666663</v>
      </c>
      <c r="X9" s="1">
        <f>(2643063000/9*12)-Y9</f>
        <v>2149691240</v>
      </c>
      <c r="Y9" s="1">
        <v>1374392760</v>
      </c>
      <c r="Z9" s="1"/>
      <c r="AA9" s="1"/>
      <c r="AB9" s="1"/>
      <c r="AC9" s="1"/>
      <c r="AD9" s="1"/>
      <c r="AE9" s="1"/>
      <c r="AF9" s="1"/>
      <c r="AG9" s="1"/>
    </row>
    <row r="10" spans="2:33" x14ac:dyDescent="0.25">
      <c r="B10" s="8" t="s">
        <v>28</v>
      </c>
      <c r="H10" s="10">
        <v>44525413</v>
      </c>
      <c r="I10" s="1">
        <v>2151458250</v>
      </c>
      <c r="J10" s="1">
        <v>1987541563</v>
      </c>
      <c r="K10" s="1">
        <v>0</v>
      </c>
      <c r="L10" s="1">
        <v>987254786</v>
      </c>
      <c r="M10" s="1">
        <v>97525413</v>
      </c>
      <c r="N10" s="1">
        <v>6015748961</v>
      </c>
      <c r="O10" s="1">
        <v>38456158</v>
      </c>
      <c r="P10" s="1">
        <v>945874123</v>
      </c>
      <c r="Q10" s="1">
        <v>3748964123</v>
      </c>
      <c r="R10" s="1">
        <v>1021547896</v>
      </c>
      <c r="S10" s="1">
        <v>70284717</v>
      </c>
      <c r="T10" s="1">
        <v>0</v>
      </c>
      <c r="U10" s="1">
        <v>748562140</v>
      </c>
      <c r="V10" s="1">
        <v>6214587620</v>
      </c>
      <c r="W10" s="1">
        <v>358752145</v>
      </c>
      <c r="X10" s="1">
        <v>754789620</v>
      </c>
      <c r="Y10" s="1">
        <v>0</v>
      </c>
      <c r="Z10" s="1"/>
      <c r="AA10" s="1"/>
      <c r="AB10" s="1"/>
      <c r="AC10" s="1"/>
      <c r="AD10" s="1"/>
      <c r="AE10" s="1"/>
      <c r="AF10" s="1"/>
      <c r="AG10" s="1"/>
    </row>
    <row r="11" spans="2:33" x14ac:dyDescent="0.25">
      <c r="B11" s="8" t="s">
        <v>29</v>
      </c>
      <c r="H11" s="10">
        <f>H9-H10</f>
        <v>497334587</v>
      </c>
      <c r="I11" s="1">
        <f>I9-I10</f>
        <v>440075083.33333302</v>
      </c>
      <c r="J11" s="1">
        <f t="shared" ref="J11:Y11" si="1">J9-J10</f>
        <v>2085945103.6666665</v>
      </c>
      <c r="K11" s="1">
        <f t="shared" si="1"/>
        <v>67953333.333333343</v>
      </c>
      <c r="L11" s="1">
        <f t="shared" si="1"/>
        <v>1174363880.666667</v>
      </c>
      <c r="M11" s="1">
        <f t="shared" si="1"/>
        <v>979133253.66666651</v>
      </c>
      <c r="N11" s="1">
        <f t="shared" si="1"/>
        <v>1016575039</v>
      </c>
      <c r="O11" s="1">
        <f t="shared" si="1"/>
        <v>248109175.33333331</v>
      </c>
      <c r="P11" s="1">
        <f t="shared" si="1"/>
        <v>563089877</v>
      </c>
      <c r="Q11" s="1">
        <f t="shared" si="1"/>
        <v>4252685210.333334</v>
      </c>
      <c r="R11" s="1">
        <f t="shared" si="1"/>
        <v>1598757437.666667</v>
      </c>
      <c r="S11" s="1">
        <f t="shared" si="1"/>
        <v>178701949.66666666</v>
      </c>
      <c r="T11" s="1">
        <v>11537926</v>
      </c>
      <c r="U11" s="1">
        <f t="shared" si="1"/>
        <v>231120526.66666675</v>
      </c>
      <c r="V11" s="1">
        <f t="shared" si="1"/>
        <v>5878203046.6666679</v>
      </c>
      <c r="W11" s="1">
        <f t="shared" si="1"/>
        <v>399214521.66666663</v>
      </c>
      <c r="X11" s="1">
        <f t="shared" si="1"/>
        <v>1394901620</v>
      </c>
      <c r="Y11" s="1">
        <f t="shared" si="1"/>
        <v>1374392760</v>
      </c>
      <c r="Z11" s="1"/>
      <c r="AA11" s="1"/>
      <c r="AB11" s="1"/>
      <c r="AC11" s="1"/>
      <c r="AD11" s="1"/>
      <c r="AE11" s="1"/>
      <c r="AF11" s="1"/>
      <c r="AG11" s="1"/>
    </row>
    <row r="12" spans="2:33" x14ac:dyDescent="0.25">
      <c r="D12" s="8" t="s">
        <v>30</v>
      </c>
      <c r="H12" s="10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  <row r="13" spans="2:33" x14ac:dyDescent="0.25">
      <c r="D13" s="8" t="s">
        <v>40</v>
      </c>
      <c r="H13" s="23">
        <f>H11/$F$7*$I$26</f>
        <v>7.3517622676680219</v>
      </c>
      <c r="I13" s="3">
        <f t="shared" ref="I13:U13" si="2">I11/$F$7*$I$26</f>
        <v>6.5053335866038573</v>
      </c>
      <c r="J13" s="3">
        <f t="shared" si="2"/>
        <v>30.835121679489099</v>
      </c>
      <c r="K13" s="3">
        <f t="shared" si="2"/>
        <v>1.0045083632244296</v>
      </c>
      <c r="L13" s="3">
        <f t="shared" si="2"/>
        <v>17.359830367875446</v>
      </c>
      <c r="M13" s="3">
        <f t="shared" si="2"/>
        <v>14.47386748777563</v>
      </c>
      <c r="N13" s="3">
        <f t="shared" si="2"/>
        <v>15.027344185039249</v>
      </c>
      <c r="O13" s="3">
        <f t="shared" si="2"/>
        <v>3.6676308488430731</v>
      </c>
      <c r="P13" s="3">
        <f t="shared" si="2"/>
        <v>8.3237784365767968</v>
      </c>
      <c r="Q13" s="3">
        <f t="shared" si="2"/>
        <v>62.864581476611534</v>
      </c>
      <c r="R13" s="3">
        <f t="shared" si="2"/>
        <v>23.633354511479837</v>
      </c>
      <c r="S13" s="3">
        <f t="shared" si="2"/>
        <v>2.6416305743845436</v>
      </c>
      <c r="T13" s="3">
        <f t="shared" si="2"/>
        <v>0.17055738979590779</v>
      </c>
      <c r="U13" s="3">
        <f t="shared" si="2"/>
        <v>3.4164990966766631</v>
      </c>
      <c r="V13" s="3">
        <f>V11/$F$7*$J$26</f>
        <v>65.170137704762951</v>
      </c>
      <c r="W13" s="3">
        <f>W11/$F$7*$I$26</f>
        <v>5.901319421193076</v>
      </c>
      <c r="X13" s="3">
        <f>X11/$F$7*$I$26</f>
        <v>20.619891246423599</v>
      </c>
      <c r="Y13" s="3">
        <f>Y11/$F$7*$J$26</f>
        <v>15.23754193561262</v>
      </c>
      <c r="Z13" s="1"/>
      <c r="AA13" s="1"/>
      <c r="AB13" s="1"/>
      <c r="AC13" s="1"/>
      <c r="AD13" s="1"/>
      <c r="AE13" s="1"/>
      <c r="AF13" s="1"/>
      <c r="AG13" s="1"/>
    </row>
    <row r="14" spans="2:33" x14ac:dyDescent="0.25">
      <c r="D14" s="8" t="s">
        <v>43</v>
      </c>
      <c r="H14" s="23">
        <f>$U$28</f>
        <v>30</v>
      </c>
      <c r="I14" s="3">
        <f>$T$28</f>
        <v>25</v>
      </c>
      <c r="J14" s="3">
        <f>$U$28</f>
        <v>30</v>
      </c>
      <c r="K14" s="3">
        <f>$U$28</f>
        <v>30</v>
      </c>
      <c r="L14" s="3">
        <f t="shared" ref="L14:Y14" si="3">$T$28</f>
        <v>25</v>
      </c>
      <c r="M14" s="3">
        <f t="shared" si="3"/>
        <v>25</v>
      </c>
      <c r="N14" s="3">
        <f t="shared" si="3"/>
        <v>25</v>
      </c>
      <c r="O14" s="3">
        <f t="shared" si="3"/>
        <v>25</v>
      </c>
      <c r="P14" s="3">
        <f t="shared" si="3"/>
        <v>25</v>
      </c>
      <c r="Q14" s="3">
        <f t="shared" si="3"/>
        <v>25</v>
      </c>
      <c r="R14" s="3">
        <f t="shared" si="3"/>
        <v>25</v>
      </c>
      <c r="S14" s="3">
        <f t="shared" si="3"/>
        <v>25</v>
      </c>
      <c r="T14" s="3">
        <f t="shared" si="3"/>
        <v>25</v>
      </c>
      <c r="U14" s="3">
        <f t="shared" si="3"/>
        <v>25</v>
      </c>
      <c r="V14" s="3">
        <f>P36</f>
        <v>23</v>
      </c>
      <c r="W14" s="3">
        <f t="shared" si="3"/>
        <v>25</v>
      </c>
      <c r="X14" s="3">
        <f t="shared" si="3"/>
        <v>25</v>
      </c>
      <c r="Y14" s="3">
        <f t="shared" si="3"/>
        <v>25</v>
      </c>
      <c r="Z14" s="1"/>
      <c r="AA14" s="1"/>
      <c r="AB14" s="1"/>
      <c r="AC14" s="1"/>
      <c r="AD14" s="1"/>
      <c r="AE14" s="1"/>
      <c r="AF14" s="1"/>
      <c r="AG14" s="1"/>
    </row>
    <row r="15" spans="2:33" x14ac:dyDescent="0.25">
      <c r="D15" s="8" t="s">
        <v>41</v>
      </c>
      <c r="H15" s="10">
        <v>1</v>
      </c>
      <c r="I15" s="1">
        <v>11</v>
      </c>
      <c r="J15" s="1">
        <v>10</v>
      </c>
      <c r="K15" s="1">
        <v>0</v>
      </c>
      <c r="L15" s="1">
        <v>10</v>
      </c>
      <c r="M15" s="1">
        <v>2</v>
      </c>
      <c r="N15" s="1">
        <v>15</v>
      </c>
      <c r="O15" s="1">
        <v>1</v>
      </c>
      <c r="P15" s="1">
        <v>20</v>
      </c>
      <c r="Q15" s="1">
        <v>20</v>
      </c>
      <c r="R15" s="1">
        <v>20</v>
      </c>
      <c r="S15" s="1">
        <v>2</v>
      </c>
      <c r="T15" s="1"/>
      <c r="U15" s="1">
        <v>20</v>
      </c>
      <c r="V15" s="1">
        <v>145</v>
      </c>
      <c r="W15" s="1">
        <v>10</v>
      </c>
      <c r="X15" s="1">
        <v>20</v>
      </c>
      <c r="Y15" s="1">
        <v>0</v>
      </c>
      <c r="Z15" s="1"/>
      <c r="AA15" s="1"/>
      <c r="AB15" s="1"/>
      <c r="AC15" s="1"/>
      <c r="AD15" s="1"/>
      <c r="AE15" s="1"/>
      <c r="AF15" s="1"/>
      <c r="AG15" s="1"/>
    </row>
    <row r="16" spans="2:33" x14ac:dyDescent="0.25">
      <c r="B16" s="8" t="s">
        <v>67</v>
      </c>
      <c r="D16" s="8" t="s">
        <v>42</v>
      </c>
      <c r="H16" s="10">
        <f>H15+MIN(H13,H14)</f>
        <v>8.3517622676680219</v>
      </c>
      <c r="I16" s="10">
        <f t="shared" ref="I16:Y16" si="4">I15+MIN(I13,I14)</f>
        <v>17.505333586603857</v>
      </c>
      <c r="J16" s="10">
        <f t="shared" si="4"/>
        <v>40</v>
      </c>
      <c r="K16" s="10">
        <f t="shared" si="4"/>
        <v>1.0045083632244296</v>
      </c>
      <c r="L16" s="10">
        <f t="shared" si="4"/>
        <v>27.359830367875446</v>
      </c>
      <c r="M16" s="10">
        <f t="shared" si="4"/>
        <v>16.473867487775628</v>
      </c>
      <c r="N16" s="10">
        <f t="shared" si="4"/>
        <v>30.027344185039247</v>
      </c>
      <c r="O16" s="10">
        <f t="shared" si="4"/>
        <v>4.6676308488430731</v>
      </c>
      <c r="P16" s="10">
        <f t="shared" si="4"/>
        <v>28.323778436576795</v>
      </c>
      <c r="Q16" s="10">
        <f t="shared" si="4"/>
        <v>45</v>
      </c>
      <c r="R16" s="10">
        <f t="shared" si="4"/>
        <v>43.633354511479837</v>
      </c>
      <c r="S16" s="10">
        <f t="shared" si="4"/>
        <v>4.6416305743845436</v>
      </c>
      <c r="T16" s="10">
        <f t="shared" si="4"/>
        <v>0.17055738979590779</v>
      </c>
      <c r="U16" s="10">
        <f t="shared" si="4"/>
        <v>23.416499096676663</v>
      </c>
      <c r="V16" s="10">
        <f>V15+MIN(V13,V14)</f>
        <v>168</v>
      </c>
      <c r="W16" s="10">
        <f t="shared" si="4"/>
        <v>15.901319421193076</v>
      </c>
      <c r="X16" s="10">
        <f t="shared" si="4"/>
        <v>40.619891246423599</v>
      </c>
      <c r="Y16" s="10">
        <f t="shared" si="4"/>
        <v>15.23754193561262</v>
      </c>
      <c r="Z16" s="1"/>
      <c r="AA16" s="1"/>
      <c r="AB16" s="1"/>
      <c r="AC16" s="1"/>
      <c r="AD16" s="1"/>
      <c r="AE16" s="1"/>
      <c r="AF16" s="1"/>
      <c r="AG16" s="1"/>
    </row>
    <row r="17" spans="2:33" x14ac:dyDescent="0.25"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</row>
    <row r="18" spans="2:33" x14ac:dyDescent="0.25">
      <c r="H18" s="10" t="str">
        <f>IF(H15*H7&lt;=H10,"TRUE",FALSE)</f>
        <v>TRUE</v>
      </c>
      <c r="I18" s="1" t="str">
        <f t="shared" ref="I18:Y18" si="5">IF(I15*I7&lt;=I10,"TRUE",FALSE)</f>
        <v>TRUE</v>
      </c>
      <c r="J18" s="1" t="str">
        <f t="shared" si="5"/>
        <v>TRUE</v>
      </c>
      <c r="K18" s="1" t="str">
        <f t="shared" si="5"/>
        <v>TRUE</v>
      </c>
      <c r="L18" s="1" t="str">
        <f t="shared" si="5"/>
        <v>TRUE</v>
      </c>
      <c r="M18" s="1" t="str">
        <f t="shared" si="5"/>
        <v>TRUE</v>
      </c>
      <c r="N18" s="1" t="str">
        <f t="shared" si="5"/>
        <v>TRUE</v>
      </c>
      <c r="O18" s="1" t="str">
        <f t="shared" si="5"/>
        <v>TRUE</v>
      </c>
      <c r="P18" s="1" t="str">
        <f t="shared" si="5"/>
        <v>TRUE</v>
      </c>
      <c r="Q18" s="1" t="str">
        <f t="shared" si="5"/>
        <v>TRUE</v>
      </c>
      <c r="R18" s="1" t="str">
        <f t="shared" si="5"/>
        <v>TRUE</v>
      </c>
      <c r="S18" s="1" t="str">
        <f t="shared" si="5"/>
        <v>TRUE</v>
      </c>
      <c r="T18" s="1" t="str">
        <f t="shared" si="5"/>
        <v>TRUE</v>
      </c>
      <c r="U18" s="1" t="str">
        <f t="shared" si="5"/>
        <v>TRUE</v>
      </c>
      <c r="V18" s="1" t="str">
        <f t="shared" si="5"/>
        <v>TRUE</v>
      </c>
      <c r="W18" s="1" t="str">
        <f t="shared" si="5"/>
        <v>TRUE</v>
      </c>
      <c r="X18" s="1" t="str">
        <f t="shared" si="5"/>
        <v>TRUE</v>
      </c>
      <c r="Y18" s="1" t="str">
        <f t="shared" si="5"/>
        <v>TRUE</v>
      </c>
      <c r="Z18" s="1"/>
      <c r="AA18" s="1"/>
      <c r="AB18" s="1"/>
      <c r="AC18" s="1"/>
      <c r="AD18" s="1"/>
      <c r="AE18" s="1"/>
      <c r="AF18" s="1"/>
      <c r="AG18" s="1"/>
    </row>
    <row r="19" spans="2:33" x14ac:dyDescent="0.25"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</row>
    <row r="20" spans="2:33" x14ac:dyDescent="0.25">
      <c r="H20" s="10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</row>
    <row r="21" spans="2:33" x14ac:dyDescent="0.25">
      <c r="H21" s="10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2:33" x14ac:dyDescent="0.25">
      <c r="H22" s="10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2:33" ht="15.75" x14ac:dyDescent="0.25">
      <c r="H23" s="24" t="s">
        <v>83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2:33" x14ac:dyDescent="0.25">
      <c r="H24" s="10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2:33" x14ac:dyDescent="0.25">
      <c r="B25" s="13" t="s">
        <v>27</v>
      </c>
      <c r="C25" s="5"/>
      <c r="D25" s="5"/>
      <c r="E25" s="5"/>
      <c r="F25" s="5"/>
      <c r="G25" s="5"/>
      <c r="H25" s="25" t="s">
        <v>69</v>
      </c>
      <c r="I25" s="14" t="s">
        <v>70</v>
      </c>
      <c r="J25" s="14" t="s">
        <v>71</v>
      </c>
      <c r="L25" s="17"/>
      <c r="M25" s="15"/>
      <c r="N25" s="27" t="s">
        <v>73</v>
      </c>
      <c r="O25" s="27"/>
      <c r="P25" s="27"/>
      <c r="Q25" s="4"/>
      <c r="R25" s="17"/>
      <c r="S25" s="15"/>
      <c r="T25" s="27" t="s">
        <v>73</v>
      </c>
      <c r="U25" s="27"/>
      <c r="V25" s="27"/>
      <c r="W25" s="4"/>
      <c r="AC25" s="4"/>
      <c r="AD25" s="4"/>
      <c r="AE25" s="4"/>
      <c r="AF25" s="4"/>
      <c r="AG25" s="4"/>
    </row>
    <row r="26" spans="2:33" x14ac:dyDescent="0.25">
      <c r="B26" s="8" t="s">
        <v>46</v>
      </c>
      <c r="C26" s="5">
        <v>1.4</v>
      </c>
      <c r="D26" s="4"/>
      <c r="E26" s="5"/>
      <c r="F26" s="5">
        <f>C26/2</f>
        <v>0.7</v>
      </c>
      <c r="G26" s="5"/>
      <c r="H26" s="26">
        <v>1</v>
      </c>
      <c r="I26" s="12">
        <f>2/3</f>
        <v>0.66666666666666663</v>
      </c>
      <c r="J26" s="5">
        <f>1/2</f>
        <v>0.5</v>
      </c>
      <c r="L26" s="16"/>
      <c r="M26" s="18"/>
      <c r="N26" s="19" t="s">
        <v>75</v>
      </c>
      <c r="O26" s="19" t="s">
        <v>76</v>
      </c>
      <c r="P26" s="19" t="s">
        <v>77</v>
      </c>
      <c r="Q26" s="5"/>
      <c r="R26" s="16"/>
      <c r="S26" s="18"/>
      <c r="T26" s="19" t="s">
        <v>75</v>
      </c>
      <c r="U26" s="19" t="s">
        <v>76</v>
      </c>
      <c r="V26" s="19" t="s">
        <v>77</v>
      </c>
      <c r="W26" s="5"/>
      <c r="AC26" s="5"/>
      <c r="AD26" s="5"/>
      <c r="AE26" s="5"/>
      <c r="AF26" s="5"/>
      <c r="AG26" s="5"/>
    </row>
    <row r="27" spans="2:33" x14ac:dyDescent="0.25">
      <c r="B27" s="8" t="s">
        <v>68</v>
      </c>
      <c r="C27" s="5">
        <v>1.8</v>
      </c>
      <c r="D27" s="4"/>
      <c r="E27" s="5"/>
      <c r="F27" s="5"/>
      <c r="G27" s="5"/>
      <c r="H27" s="26"/>
      <c r="I27" s="5"/>
      <c r="J27" s="5"/>
      <c r="L27" s="28" t="s">
        <v>74</v>
      </c>
      <c r="M27" s="19" t="s">
        <v>75</v>
      </c>
      <c r="N27" s="20">
        <v>10</v>
      </c>
      <c r="O27" s="20">
        <v>13</v>
      </c>
      <c r="P27" s="20">
        <v>15</v>
      </c>
      <c r="Q27" s="5"/>
      <c r="R27" s="28" t="s">
        <v>74</v>
      </c>
      <c r="S27" s="19" t="s">
        <v>75</v>
      </c>
      <c r="T27" s="20">
        <v>20</v>
      </c>
      <c r="U27" s="20">
        <v>25</v>
      </c>
      <c r="V27" s="20">
        <v>30</v>
      </c>
      <c r="W27" s="5"/>
      <c r="AC27" s="5"/>
      <c r="AD27" s="5"/>
      <c r="AE27" s="5"/>
      <c r="AF27" s="5"/>
      <c r="AG27" s="5"/>
    </row>
    <row r="28" spans="2:33" x14ac:dyDescent="0.25">
      <c r="B28" s="8" t="s">
        <v>44</v>
      </c>
      <c r="C28" s="5">
        <v>1.2</v>
      </c>
      <c r="D28" s="4"/>
      <c r="E28" s="5"/>
      <c r="F28" s="5">
        <f>C28/2</f>
        <v>0.6</v>
      </c>
      <c r="G28" s="5"/>
      <c r="H28" s="26"/>
      <c r="I28" s="5"/>
      <c r="J28" s="5"/>
      <c r="L28" s="28"/>
      <c r="M28" s="19" t="s">
        <v>76</v>
      </c>
      <c r="N28" s="20">
        <v>13</v>
      </c>
      <c r="O28" s="20">
        <v>15</v>
      </c>
      <c r="P28" s="20">
        <v>18</v>
      </c>
      <c r="Q28" s="5"/>
      <c r="R28" s="28"/>
      <c r="S28" s="19" t="s">
        <v>76</v>
      </c>
      <c r="T28" s="20">
        <v>25</v>
      </c>
      <c r="U28" s="20">
        <v>30</v>
      </c>
      <c r="V28" s="20">
        <v>35</v>
      </c>
      <c r="W28" s="5"/>
      <c r="AC28" s="5"/>
      <c r="AD28" s="5"/>
      <c r="AE28" s="5"/>
      <c r="AF28" s="5"/>
      <c r="AG28" s="5"/>
    </row>
    <row r="29" spans="2:33" x14ac:dyDescent="0.25">
      <c r="B29" s="8" t="s">
        <v>45</v>
      </c>
      <c r="C29" s="8">
        <v>2.1</v>
      </c>
      <c r="D29" s="1"/>
      <c r="E29" s="1"/>
      <c r="F29" s="1">
        <f>C29/2</f>
        <v>1.05</v>
      </c>
      <c r="L29" s="28"/>
      <c r="M29" s="21" t="s">
        <v>77</v>
      </c>
      <c r="N29" s="18">
        <v>15</v>
      </c>
      <c r="O29" s="18">
        <v>18</v>
      </c>
      <c r="P29" s="18">
        <v>20</v>
      </c>
      <c r="R29" s="28"/>
      <c r="S29" s="21" t="s">
        <v>77</v>
      </c>
      <c r="T29" s="18">
        <v>30</v>
      </c>
      <c r="U29" s="18">
        <v>35</v>
      </c>
      <c r="V29" s="18">
        <v>40</v>
      </c>
    </row>
    <row r="30" spans="2:33" x14ac:dyDescent="0.25">
      <c r="L30" s="15"/>
      <c r="M30" s="15"/>
      <c r="N30" s="15"/>
      <c r="O30" s="15"/>
      <c r="P30" s="15"/>
      <c r="R30" s="15"/>
      <c r="S30" s="15"/>
      <c r="T30" s="15"/>
      <c r="U30" s="15"/>
      <c r="V30" s="15"/>
    </row>
    <row r="31" spans="2:33" x14ac:dyDescent="0.25">
      <c r="M31" s="8" t="s">
        <v>78</v>
      </c>
      <c r="S31" s="8" t="s">
        <v>79</v>
      </c>
    </row>
    <row r="33" spans="12:16" x14ac:dyDescent="0.25">
      <c r="L33" s="17"/>
      <c r="M33" s="15"/>
      <c r="N33" s="27" t="s">
        <v>73</v>
      </c>
      <c r="O33" s="27"/>
      <c r="P33" s="27"/>
    </row>
    <row r="34" spans="12:16" x14ac:dyDescent="0.25">
      <c r="L34" s="16"/>
      <c r="M34" s="18"/>
      <c r="N34" s="19" t="s">
        <v>75</v>
      </c>
      <c r="O34" s="19" t="s">
        <v>76</v>
      </c>
      <c r="P34" s="19" t="s">
        <v>77</v>
      </c>
    </row>
    <row r="35" spans="12:16" x14ac:dyDescent="0.25">
      <c r="L35" s="28" t="s">
        <v>74</v>
      </c>
      <c r="M35" s="19" t="s">
        <v>75</v>
      </c>
      <c r="N35" s="20">
        <v>13</v>
      </c>
      <c r="O35" s="20">
        <v>17</v>
      </c>
      <c r="P35" s="20">
        <v>20</v>
      </c>
    </row>
    <row r="36" spans="12:16" x14ac:dyDescent="0.25">
      <c r="L36" s="28"/>
      <c r="M36" s="19" t="s">
        <v>76</v>
      </c>
      <c r="N36" s="20">
        <v>17</v>
      </c>
      <c r="O36" s="20">
        <v>20</v>
      </c>
      <c r="P36" s="20">
        <v>23</v>
      </c>
    </row>
    <row r="37" spans="12:16" x14ac:dyDescent="0.25">
      <c r="L37" s="28"/>
      <c r="M37" s="21" t="s">
        <v>77</v>
      </c>
      <c r="N37" s="18">
        <v>20</v>
      </c>
      <c r="O37" s="18">
        <v>23</v>
      </c>
      <c r="P37" s="18">
        <v>26</v>
      </c>
    </row>
    <row r="38" spans="12:16" x14ac:dyDescent="0.25">
      <c r="L38" s="15"/>
      <c r="M38" s="15"/>
      <c r="N38" s="15"/>
      <c r="O38" s="15"/>
      <c r="P38" s="15"/>
    </row>
    <row r="39" spans="12:16" x14ac:dyDescent="0.25">
      <c r="M39" s="8" t="s">
        <v>80</v>
      </c>
    </row>
  </sheetData>
  <mergeCells count="38">
    <mergeCell ref="W4:W5"/>
    <mergeCell ref="X4:X5"/>
    <mergeCell ref="Y4:Y5"/>
    <mergeCell ref="P4:P5"/>
    <mergeCell ref="Q4:Q5"/>
    <mergeCell ref="R4:R5"/>
    <mergeCell ref="S4:S5"/>
    <mergeCell ref="U4:U5"/>
    <mergeCell ref="V4:V5"/>
    <mergeCell ref="O4:O5"/>
    <mergeCell ref="B7:C8"/>
    <mergeCell ref="L4:L5"/>
    <mergeCell ref="M4:M5"/>
    <mergeCell ref="N4:N5"/>
    <mergeCell ref="H7:H8"/>
    <mergeCell ref="F7:F8"/>
    <mergeCell ref="I7:I8"/>
    <mergeCell ref="J7:J8"/>
    <mergeCell ref="K7:K8"/>
    <mergeCell ref="L7:L8"/>
    <mergeCell ref="M7:M8"/>
    <mergeCell ref="N7:N8"/>
    <mergeCell ref="O7:O8"/>
    <mergeCell ref="V7:V8"/>
    <mergeCell ref="W7:W8"/>
    <mergeCell ref="X7:X8"/>
    <mergeCell ref="Y7:Y8"/>
    <mergeCell ref="P7:P8"/>
    <mergeCell ref="Q7:Q8"/>
    <mergeCell ref="R7:R8"/>
    <mergeCell ref="S7:S8"/>
    <mergeCell ref="U7:U8"/>
    <mergeCell ref="N25:P25"/>
    <mergeCell ref="L27:L29"/>
    <mergeCell ref="N33:P33"/>
    <mergeCell ref="L35:L37"/>
    <mergeCell ref="T25:V25"/>
    <mergeCell ref="R27:R29"/>
  </mergeCells>
  <pageMargins left="0.7" right="0.7" top="0.75" bottom="0.75" header="0.3" footer="0.3"/>
  <pageSetup paperSize="9" scale="36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33"/>
  <sheetViews>
    <sheetView workbookViewId="0">
      <selection activeCell="A3" sqref="A3:I18"/>
    </sheetView>
  </sheetViews>
  <sheetFormatPr defaultRowHeight="15" x14ac:dyDescent="0.25"/>
  <cols>
    <col min="3" max="3" width="13.42578125" customWidth="1"/>
    <col min="4" max="4" width="12.5703125" customWidth="1"/>
    <col min="5" max="5" width="12.42578125" customWidth="1"/>
    <col min="6" max="6" width="11.85546875" customWidth="1"/>
    <col min="7" max="7" width="14" customWidth="1"/>
    <col min="8" max="8" width="15.7109375" customWidth="1"/>
  </cols>
  <sheetData>
    <row r="4" spans="2:9" x14ac:dyDescent="0.25">
      <c r="B4" s="36" t="s">
        <v>47</v>
      </c>
      <c r="C4" s="35" t="s">
        <v>48</v>
      </c>
      <c r="D4" s="35"/>
      <c r="E4" s="35"/>
      <c r="F4" s="35"/>
      <c r="G4" s="35"/>
      <c r="H4" t="s">
        <v>49</v>
      </c>
      <c r="I4" t="s">
        <v>50</v>
      </c>
    </row>
    <row r="5" spans="2:9" ht="26.25" customHeight="1" x14ac:dyDescent="0.25">
      <c r="B5" s="36"/>
      <c r="C5" t="s">
        <v>66</v>
      </c>
      <c r="D5" t="s">
        <v>64</v>
      </c>
      <c r="E5" t="s">
        <v>63</v>
      </c>
      <c r="F5" t="s">
        <v>65</v>
      </c>
      <c r="G5" t="s">
        <v>42</v>
      </c>
    </row>
    <row r="6" spans="2:9" x14ac:dyDescent="0.25">
      <c r="B6" t="s">
        <v>51</v>
      </c>
      <c r="C6" s="6">
        <v>925478</v>
      </c>
      <c r="D6" s="6">
        <v>771776</v>
      </c>
      <c r="E6" s="6">
        <v>2954294</v>
      </c>
      <c r="F6" s="6">
        <v>874598</v>
      </c>
      <c r="G6" s="6">
        <f>C6+D6+E6+F6</f>
        <v>5526146</v>
      </c>
      <c r="H6" s="6">
        <f>G6+10</f>
        <v>5526156</v>
      </c>
      <c r="I6" s="6">
        <f>G6-H6</f>
        <v>-10</v>
      </c>
    </row>
    <row r="7" spans="2:9" x14ac:dyDescent="0.25">
      <c r="B7" t="s">
        <v>52</v>
      </c>
      <c r="C7" s="6">
        <v>857148</v>
      </c>
      <c r="D7" s="6">
        <v>774738</v>
      </c>
      <c r="E7" s="6">
        <v>3154789</v>
      </c>
      <c r="F7" s="6">
        <v>880547</v>
      </c>
      <c r="G7" s="6">
        <f t="shared" ref="G7:G17" si="0">C7+D7+E7+F7</f>
        <v>5667222</v>
      </c>
      <c r="H7" s="6">
        <f>G7+14</f>
        <v>5667236</v>
      </c>
      <c r="I7" s="6">
        <f t="shared" ref="I7:I17" si="1">G7-H7</f>
        <v>-14</v>
      </c>
    </row>
    <row r="8" spans="2:9" x14ac:dyDescent="0.25">
      <c r="B8" t="s">
        <v>53</v>
      </c>
      <c r="C8" s="1">
        <v>848751</v>
      </c>
      <c r="D8" s="6">
        <v>913952</v>
      </c>
      <c r="E8" s="6">
        <v>2987856</v>
      </c>
      <c r="F8" s="6">
        <v>895215</v>
      </c>
      <c r="G8" s="6">
        <f>C8+D8+E8+F8</f>
        <v>5645774</v>
      </c>
      <c r="H8" s="6">
        <f t="shared" ref="H8:H16" si="2">G8</f>
        <v>5645774</v>
      </c>
      <c r="I8" s="6">
        <f t="shared" si="1"/>
        <v>0</v>
      </c>
    </row>
    <row r="9" spans="2:9" x14ac:dyDescent="0.25">
      <c r="B9" t="s">
        <v>54</v>
      </c>
      <c r="C9" s="1">
        <v>725789</v>
      </c>
      <c r="D9" s="6">
        <v>884732</v>
      </c>
      <c r="E9" s="6">
        <v>4045879</v>
      </c>
      <c r="F9" s="6">
        <v>785648</v>
      </c>
      <c r="G9" s="6">
        <f t="shared" si="0"/>
        <v>6442048</v>
      </c>
      <c r="H9" s="6">
        <f>G9+11</f>
        <v>6442059</v>
      </c>
      <c r="I9" s="6">
        <f t="shared" si="1"/>
        <v>-11</v>
      </c>
    </row>
    <row r="10" spans="2:9" x14ac:dyDescent="0.25">
      <c r="B10" t="s">
        <v>55</v>
      </c>
      <c r="C10" s="1">
        <v>825789</v>
      </c>
      <c r="D10" s="6">
        <v>874589</v>
      </c>
      <c r="E10" s="6">
        <v>4154789</v>
      </c>
      <c r="F10" s="6">
        <v>842157</v>
      </c>
      <c r="G10" s="6">
        <f t="shared" si="0"/>
        <v>6697324</v>
      </c>
      <c r="H10" s="6">
        <f t="shared" si="2"/>
        <v>6697324</v>
      </c>
      <c r="I10" s="6">
        <f t="shared" si="1"/>
        <v>0</v>
      </c>
    </row>
    <row r="11" spans="2:9" x14ac:dyDescent="0.25">
      <c r="B11" t="s">
        <v>56</v>
      </c>
      <c r="C11" s="1">
        <v>925487</v>
      </c>
      <c r="D11" s="6">
        <v>952445</v>
      </c>
      <c r="E11" s="6">
        <v>5185479</v>
      </c>
      <c r="F11" s="6">
        <v>921543</v>
      </c>
      <c r="G11" s="6">
        <f t="shared" si="0"/>
        <v>7984954</v>
      </c>
      <c r="H11" s="6">
        <f t="shared" si="2"/>
        <v>7984954</v>
      </c>
      <c r="I11" s="6">
        <f t="shared" si="1"/>
        <v>0</v>
      </c>
    </row>
    <row r="12" spans="2:9" x14ac:dyDescent="0.25">
      <c r="B12" t="s">
        <v>57</v>
      </c>
      <c r="C12" s="1">
        <v>1054781</v>
      </c>
      <c r="D12" s="6">
        <f>884783+113292</f>
        <v>998075</v>
      </c>
      <c r="E12" s="6">
        <v>5215487</v>
      </c>
      <c r="F12" s="6">
        <v>825748</v>
      </c>
      <c r="G12" s="6">
        <f t="shared" si="0"/>
        <v>8094091</v>
      </c>
      <c r="H12" s="6">
        <f t="shared" si="2"/>
        <v>8094091</v>
      </c>
      <c r="I12" s="6">
        <f t="shared" si="1"/>
        <v>0</v>
      </c>
    </row>
    <row r="13" spans="2:9" x14ac:dyDescent="0.25">
      <c r="B13" t="s">
        <v>58</v>
      </c>
      <c r="C13" s="1">
        <v>935871</v>
      </c>
      <c r="D13" s="6">
        <v>1011785</v>
      </c>
      <c r="E13" s="6">
        <v>5412578</v>
      </c>
      <c r="F13" s="6">
        <v>915478</v>
      </c>
      <c r="G13" s="6">
        <f t="shared" si="0"/>
        <v>8275712</v>
      </c>
      <c r="H13" s="6">
        <f>G13+8</f>
        <v>8275720</v>
      </c>
      <c r="I13" s="6">
        <f t="shared" si="1"/>
        <v>-8</v>
      </c>
    </row>
    <row r="14" spans="2:9" x14ac:dyDescent="0.25">
      <c r="B14" t="s">
        <v>59</v>
      </c>
      <c r="C14" s="1">
        <v>1045786</v>
      </c>
      <c r="D14" s="6">
        <v>1022202</v>
      </c>
      <c r="E14" s="6">
        <v>5625871</v>
      </c>
      <c r="F14" s="6">
        <v>835478</v>
      </c>
      <c r="G14" s="6">
        <f t="shared" si="0"/>
        <v>8529337</v>
      </c>
      <c r="H14" s="6">
        <f t="shared" si="2"/>
        <v>8529337</v>
      </c>
      <c r="I14" s="6">
        <f t="shared" si="1"/>
        <v>0</v>
      </c>
    </row>
    <row r="15" spans="2:9" x14ac:dyDescent="0.25">
      <c r="B15" t="s">
        <v>60</v>
      </c>
      <c r="C15" s="1">
        <v>1045786</v>
      </c>
      <c r="D15" s="6">
        <v>1047529</v>
      </c>
      <c r="E15" s="6">
        <v>6578214</v>
      </c>
      <c r="F15" s="6">
        <v>762549</v>
      </c>
      <c r="G15" s="6">
        <f t="shared" si="0"/>
        <v>9434078</v>
      </c>
      <c r="H15" s="6">
        <f>G15+7</f>
        <v>9434085</v>
      </c>
      <c r="I15" s="6">
        <f t="shared" si="1"/>
        <v>-7</v>
      </c>
    </row>
    <row r="16" spans="2:9" x14ac:dyDescent="0.25">
      <c r="B16" t="s">
        <v>61</v>
      </c>
      <c r="C16" s="1">
        <v>1012458</v>
      </c>
      <c r="D16" s="6">
        <v>1084732</v>
      </c>
      <c r="E16" s="6">
        <v>6148793</v>
      </c>
      <c r="F16" s="6">
        <v>758486</v>
      </c>
      <c r="G16" s="6">
        <f t="shared" si="0"/>
        <v>9004469</v>
      </c>
      <c r="H16" s="6">
        <f t="shared" si="2"/>
        <v>9004469</v>
      </c>
      <c r="I16" s="6">
        <f t="shared" si="1"/>
        <v>0</v>
      </c>
    </row>
    <row r="17" spans="2:9" x14ac:dyDescent="0.25">
      <c r="B17" t="s">
        <v>62</v>
      </c>
      <c r="C17" s="1">
        <v>1045213</v>
      </c>
      <c r="D17" s="6">
        <v>1041465</v>
      </c>
      <c r="E17" s="6">
        <v>7012547</v>
      </c>
      <c r="F17" s="6">
        <v>897542</v>
      </c>
      <c r="G17" s="6">
        <f t="shared" si="0"/>
        <v>9996767</v>
      </c>
      <c r="H17" s="6">
        <f>G17+2</f>
        <v>9996769</v>
      </c>
      <c r="I17" s="6">
        <f t="shared" si="1"/>
        <v>-2</v>
      </c>
    </row>
    <row r="18" spans="2:9" x14ac:dyDescent="0.25">
      <c r="B18" t="s">
        <v>42</v>
      </c>
      <c r="C18" s="6">
        <v>6726957274</v>
      </c>
      <c r="D18" s="6">
        <v>2185560180</v>
      </c>
      <c r="E18" s="6">
        <v>4064324246</v>
      </c>
      <c r="F18" s="6">
        <v>659096770</v>
      </c>
      <c r="G18" s="6">
        <f>SUM(G6:G17)</f>
        <v>91297922</v>
      </c>
      <c r="H18" s="6">
        <f>SUM(H6:H17)</f>
        <v>91297974</v>
      </c>
      <c r="I18" s="6">
        <f>SUM(I6:I17)</f>
        <v>-52</v>
      </c>
    </row>
    <row r="20" spans="2:9" x14ac:dyDescent="0.25">
      <c r="G20" s="1"/>
    </row>
    <row r="21" spans="2:9" x14ac:dyDescent="0.25">
      <c r="G21" s="7">
        <f>G18-G20</f>
        <v>91297922</v>
      </c>
    </row>
    <row r="24" spans="2:9" x14ac:dyDescent="0.25">
      <c r="C24" s="6">
        <v>555610495</v>
      </c>
      <c r="D24" s="6">
        <v>175618358</v>
      </c>
      <c r="E24" s="6">
        <v>394185857</v>
      </c>
      <c r="F24" s="6">
        <v>38792078</v>
      </c>
    </row>
    <row r="25" spans="2:9" x14ac:dyDescent="0.25">
      <c r="C25" s="6">
        <v>562145315</v>
      </c>
      <c r="D25" s="6">
        <v>149992559</v>
      </c>
      <c r="E25" s="6">
        <v>247701682</v>
      </c>
      <c r="F25" s="6">
        <v>21383446</v>
      </c>
    </row>
    <row r="26" spans="2:9" x14ac:dyDescent="0.25">
      <c r="C26" s="6">
        <v>581707410</v>
      </c>
      <c r="D26" s="6">
        <v>190676308</v>
      </c>
      <c r="E26" s="6">
        <v>304721957</v>
      </c>
      <c r="F26" s="6">
        <v>24270837</v>
      </c>
    </row>
    <row r="27" spans="2:9" x14ac:dyDescent="0.25">
      <c r="C27" s="6">
        <v>592062001</v>
      </c>
      <c r="D27" s="6">
        <v>200548471</v>
      </c>
      <c r="E27" s="6">
        <v>277373756</v>
      </c>
      <c r="F27" s="6">
        <v>59845368</v>
      </c>
    </row>
    <row r="28" spans="2:9" x14ac:dyDescent="0.25">
      <c r="C28" s="6">
        <v>550974227</v>
      </c>
      <c r="D28" s="6">
        <v>197946369</v>
      </c>
      <c r="E28" s="6">
        <v>314936487</v>
      </c>
      <c r="F28" s="6">
        <v>33316227</v>
      </c>
    </row>
    <row r="29" spans="2:9" x14ac:dyDescent="0.25">
      <c r="C29" s="6">
        <v>565799305</v>
      </c>
      <c r="D29" s="6">
        <v>208760754</v>
      </c>
      <c r="E29" s="6">
        <v>396962673</v>
      </c>
      <c r="F29" s="6">
        <v>40387629</v>
      </c>
    </row>
    <row r="30" spans="2:9" x14ac:dyDescent="0.25">
      <c r="C30" s="6">
        <v>633448535</v>
      </c>
      <c r="D30" s="6">
        <v>220293828</v>
      </c>
      <c r="E30" s="6">
        <v>339226678</v>
      </c>
      <c r="F30" s="6">
        <v>46214017</v>
      </c>
    </row>
    <row r="31" spans="2:9" x14ac:dyDescent="0.25">
      <c r="C31" s="6">
        <v>599646474</v>
      </c>
      <c r="D31" s="6">
        <v>202789100</v>
      </c>
      <c r="E31" s="6">
        <v>387804358</v>
      </c>
      <c r="F31" s="6">
        <v>47801701</v>
      </c>
    </row>
    <row r="32" spans="2:9" x14ac:dyDescent="0.25">
      <c r="C32" s="6">
        <v>611510771</v>
      </c>
      <c r="D32" s="6">
        <v>173893648</v>
      </c>
      <c r="E32" s="6">
        <v>343345716</v>
      </c>
      <c r="F32" s="6">
        <v>86256748</v>
      </c>
    </row>
    <row r="33" spans="3:6" x14ac:dyDescent="0.25">
      <c r="C33" s="6">
        <v>597502887</v>
      </c>
      <c r="D33" s="6">
        <v>142819615</v>
      </c>
      <c r="E33" s="6">
        <v>434018945</v>
      </c>
      <c r="F33" s="6">
        <v>135796708</v>
      </c>
    </row>
  </sheetData>
  <mergeCells count="2">
    <mergeCell ref="C4:G4"/>
    <mergeCell ref="B4:B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Sheet2</vt:lpstr>
      <vt:lpstr>Sample size planning</vt:lpstr>
      <vt:lpstr>Sheet3</vt:lpstr>
      <vt:lpstr>'Sample size planning'!Print_Area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2020-07-20T14:51:16Z</dcterms:modified>
</cp:coreProperties>
</file>